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5700" windowHeight="3480" activeTab="0"/>
  </bookViews>
  <sheets>
    <sheet name="System resolution" sheetId="1" r:id="rId1"/>
    <sheet name="Megapixel equivalent of film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<sst xmlns="http://schemas.openxmlformats.org/spreadsheetml/2006/main" count="129" uniqueCount="110">
  <si>
    <t>55mm Zeiss Otus</t>
  </si>
  <si>
    <t>lp/mm</t>
  </si>
  <si>
    <t>Enlarger lens</t>
  </si>
  <si>
    <t xml:space="preserve">Film </t>
  </si>
  <si>
    <t>24 MP FX</t>
  </si>
  <si>
    <t>LW/PH</t>
  </si>
  <si>
    <t>Coolscan @ 4000 PPI</t>
  </si>
  <si>
    <t>Very good lp/mm lens</t>
  </si>
  <si>
    <t xml:space="preserve">24 MP DX </t>
  </si>
  <si>
    <t>Epson @ 2300 PPI</t>
  </si>
  <si>
    <t>45.7 MP FX</t>
  </si>
  <si>
    <t>24 MP FX Leica Monochrom</t>
  </si>
  <si>
    <t>Digital</t>
  </si>
  <si>
    <t>Film</t>
  </si>
  <si>
    <t>Pan F Plus 150 l/mm</t>
  </si>
  <si>
    <t>FP4 Plus 110 l/mm</t>
  </si>
  <si>
    <t>HP5 Plus 100 l/mm</t>
  </si>
  <si>
    <t>100 Delta Pro 160 l/mm</t>
  </si>
  <si>
    <t>Delta 400 Pro 145 l/mm</t>
  </si>
  <si>
    <t>Delta 3200 Pro 100 l/mm</t>
  </si>
  <si>
    <t>XP2 Super 110 l/mm</t>
  </si>
  <si>
    <t>SFX 200 80 l/mm</t>
  </si>
  <si>
    <t>FX line widths per picture height</t>
  </si>
  <si>
    <t>DX line widths per picture height</t>
  </si>
  <si>
    <t>BOLD</t>
  </si>
  <si>
    <t>Italic</t>
  </si>
  <si>
    <t>FX lens lp/mm</t>
  </si>
  <si>
    <t xml:space="preserve">Note that the post states "l/mm" rather than lp/mm.  That may be a  </t>
  </si>
  <si>
    <t xml:space="preserve">Input cells  are </t>
  </si>
  <si>
    <t xml:space="preserve">Calculated cells are </t>
  </si>
  <si>
    <t>Tmax 100</t>
  </si>
  <si>
    <t>Tmax 400</t>
  </si>
  <si>
    <t>Fuji Velvia 50</t>
  </si>
  <si>
    <t>Fuji Neopan Acros</t>
  </si>
  <si>
    <t>Scanner</t>
  </si>
  <si>
    <t>Epson V750</t>
  </si>
  <si>
    <t>Nikon Coolscan 9000</t>
  </si>
  <si>
    <t>Hasselblad Flextight</t>
  </si>
  <si>
    <t>PPI</t>
  </si>
  <si>
    <t>With Bayer array</t>
  </si>
  <si>
    <t>Tmax 100 @ 125 lp/mm</t>
  </si>
  <si>
    <t>Tmax 400,  Acros @ 100 lp/mm</t>
  </si>
  <si>
    <t>Velvia 50 @ 80 lp/mm</t>
  </si>
  <si>
    <t>Enlarger lens for 35mm</t>
  </si>
  <si>
    <t>Enlarger lens for MF</t>
  </si>
  <si>
    <t>Enlarger lens for LF</t>
  </si>
  <si>
    <t>Enlarger</t>
  </si>
  <si>
    <t>V750</t>
  </si>
  <si>
    <t>Coolscan</t>
  </si>
  <si>
    <t>Flextight</t>
  </si>
  <si>
    <t>36 MP FX D810</t>
  </si>
  <si>
    <t>DX 2+9 D7200</t>
  </si>
  <si>
    <t>FX 2+8 D610</t>
  </si>
  <si>
    <t>FX 2+11 D810</t>
  </si>
  <si>
    <t>FX 2+12 D850</t>
  </si>
  <si>
    <t>16 MP Df</t>
  </si>
  <si>
    <t>16 MP 2+13 Df</t>
  </si>
  <si>
    <t>FX 1+8 D610</t>
  </si>
  <si>
    <t>DX 1+9 D7200</t>
  </si>
  <si>
    <t>FX 1+11 D810</t>
  </si>
  <si>
    <t>FX 1+12 D850</t>
  </si>
  <si>
    <t>16 MP 1+13 Df</t>
  </si>
  <si>
    <t>50 MP MF (33x44mm)</t>
  </si>
  <si>
    <t>FX 2+10 Leica Monochrom</t>
  </si>
  <si>
    <t>MF digital 3+14</t>
  </si>
  <si>
    <t>FX 2+15+16 Coolscan</t>
  </si>
  <si>
    <t>FX 2+15+17 V750</t>
  </si>
  <si>
    <t>FX 2+15+5 enlarger</t>
  </si>
  <si>
    <t>FX 1+15+16 Coolscan</t>
  </si>
  <si>
    <t>FX 1+15+17 V750</t>
  </si>
  <si>
    <t>FX 1+15+5 enlarger</t>
  </si>
  <si>
    <t>4x5 4+15+17 V750</t>
  </si>
  <si>
    <t>4x5 4+15+7 enlarger</t>
  </si>
  <si>
    <t>8x10 4+15+17 V750</t>
  </si>
  <si>
    <t>FX 2+15+18 Flextight X1</t>
  </si>
  <si>
    <t>FX 1+15+18 Flextight X1</t>
  </si>
  <si>
    <t>FX 4+15+20 Flextight X1</t>
  </si>
  <si>
    <t>MF* 3+15+16 Coolscan</t>
  </si>
  <si>
    <t>* Medium format film at 6x6cm or 57x57mm</t>
  </si>
  <si>
    <t>MF* 3+15+17 V750</t>
  </si>
  <si>
    <t>MF* 3+15+6 enlarger</t>
  </si>
  <si>
    <t>MF* 3+15+19 Flextight X1</t>
  </si>
  <si>
    <t>typo .  Kodak claims 125 lp/mm  for TMX and 100 lp/mm for TMY.</t>
  </si>
  <si>
    <t>www.photo.net/discuss/threads/highest-resolution-b-w-film-dev-other-than-tech-pan.19844/</t>
  </si>
  <si>
    <t>D850</t>
  </si>
  <si>
    <t>D810</t>
  </si>
  <si>
    <t>D610</t>
  </si>
  <si>
    <t>Df</t>
  </si>
  <si>
    <t>Monochrom</t>
  </si>
  <si>
    <t>X1D-50c</t>
  </si>
  <si>
    <t>height</t>
  </si>
  <si>
    <t>LP/PH</t>
  </si>
  <si>
    <t>Bayer</t>
  </si>
  <si>
    <t>Relative</t>
  </si>
  <si>
    <t>Medum format lens</t>
  </si>
  <si>
    <t>Large format (4x5) lens</t>
  </si>
  <si>
    <t>Flextight X1 35mm 6300 ppi</t>
  </si>
  <si>
    <t>Flextight X1 MF 3200 ppi</t>
  </si>
  <si>
    <t>D7200 (DX)</t>
  </si>
  <si>
    <t>w/o Bayer array  equivalent MP**</t>
  </si>
  <si>
    <t>Total pixels rows needed*</t>
  </si>
  <si>
    <t>Pixel rows per line</t>
  </si>
  <si>
    <t>Flextight X1 LF 2040 ppi</t>
  </si>
  <si>
    <t xml:space="preserve">Bayer MP penalty </t>
  </si>
  <si>
    <t xml:space="preserve">Bayer linear penalty </t>
  </si>
  <si>
    <t>default 1.5</t>
  </si>
  <si>
    <t>default =1.333</t>
  </si>
  <si>
    <t>default 1.5 rows for each line of target</t>
  </si>
  <si>
    <t>default 1.333</t>
  </si>
  <si>
    <t>* Two pixels rows are needed to clearly resolve each line in a Bayer array (1.5 x 1.333)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</si>
</sst>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0" fillId="0" borderId="0" xfId="0" applyFont="1" applyAlignment="1">
      <alignment/>
    </xf>
    <xf numFmtId="2" fontId="38" fillId="0" borderId="0" xfId="0" applyNumberFormat="1" applyFont="1" applyAlignment="1">
      <alignment/>
    </xf>
    <xf numFmtId="172" fontId="40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9" fontId="40" fillId="0" borderId="0" xfId="59" applyFont="1" applyAlignment="1">
      <alignment/>
    </xf>
    <xf numFmtId="9" fontId="41" fillId="0" borderId="0" xfId="59" applyFont="1" applyAlignment="1">
      <alignment/>
    </xf>
    <xf numFmtId="0" fontId="32" fillId="0" borderId="0" xfId="53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2" fontId="40" fillId="0" borderId="0" xfId="0" applyNumberFormat="1" applyFont="1" applyAlignment="1">
      <alignment horizontal="right"/>
    </xf>
    <xf numFmtId="171" fontId="3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net/discuss/threads/highest-resolution-b-w-film-dev-other-than-tech-pan.19844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K30" sqref="K30"/>
    </sheetView>
  </sheetViews>
  <sheetFormatPr defaultColWidth="9.140625" defaultRowHeight="15"/>
  <cols>
    <col min="1" max="1" width="3.00390625" style="0" bestFit="1" customWidth="1"/>
    <col min="2" max="2" width="28.28125" style="0" customWidth="1"/>
    <col min="3" max="3" width="9.57421875" style="1" bestFit="1" customWidth="1"/>
    <col min="4" max="4" width="11.140625" style="0" customWidth="1"/>
    <col min="5" max="5" width="11.28125" style="0" customWidth="1"/>
    <col min="6" max="6" width="8.28125" style="0" customWidth="1"/>
    <col min="7" max="7" width="8.00390625" style="0" bestFit="1" customWidth="1"/>
    <col min="9" max="9" width="8.140625" style="0" customWidth="1"/>
  </cols>
  <sheetData>
    <row r="1" spans="1:6" ht="14.25">
      <c r="A1">
        <v>1</v>
      </c>
      <c r="B1" t="s">
        <v>0</v>
      </c>
      <c r="C1" s="11">
        <v>66.67</v>
      </c>
      <c r="D1" t="s">
        <v>1</v>
      </c>
      <c r="E1" s="6">
        <v>3200</v>
      </c>
      <c r="F1" t="s">
        <v>22</v>
      </c>
    </row>
    <row r="2" spans="1:6" ht="14.25">
      <c r="A2">
        <v>2</v>
      </c>
      <c r="B2" t="s">
        <v>7</v>
      </c>
      <c r="C2" s="11">
        <v>50</v>
      </c>
      <c r="E2" s="9">
        <f>E1/2/24</f>
        <v>66.66666666666667</v>
      </c>
      <c r="F2" s="7" t="s">
        <v>26</v>
      </c>
    </row>
    <row r="3" spans="1:6" ht="14.25">
      <c r="A3">
        <v>3</v>
      </c>
      <c r="B3" t="s">
        <v>94</v>
      </c>
      <c r="C3" s="11">
        <v>48</v>
      </c>
      <c r="E3" s="8">
        <f>E1/1.5</f>
        <v>2133.3333333333335</v>
      </c>
      <c r="F3" s="7" t="s">
        <v>23</v>
      </c>
    </row>
    <row r="4" spans="1:3" ht="14.25">
      <c r="A4">
        <v>4</v>
      </c>
      <c r="B4" t="s">
        <v>95</v>
      </c>
      <c r="C4" s="11">
        <v>30</v>
      </c>
    </row>
    <row r="5" spans="1:8" ht="14.25">
      <c r="A5">
        <v>5</v>
      </c>
      <c r="B5" t="s">
        <v>43</v>
      </c>
      <c r="C5" s="11">
        <v>60</v>
      </c>
      <c r="E5" s="23"/>
      <c r="F5" s="10"/>
      <c r="G5" s="10"/>
      <c r="H5" s="10"/>
    </row>
    <row r="6" spans="1:8" ht="14.25">
      <c r="A6">
        <v>6</v>
      </c>
      <c r="B6" t="s">
        <v>44</v>
      </c>
      <c r="C6" s="11">
        <v>45</v>
      </c>
      <c r="E6" t="s">
        <v>101</v>
      </c>
      <c r="G6" s="6">
        <v>1.5</v>
      </c>
      <c r="H6" t="s">
        <v>105</v>
      </c>
    </row>
    <row r="7" spans="1:8" ht="14.25">
      <c r="A7">
        <v>7</v>
      </c>
      <c r="B7" t="s">
        <v>45</v>
      </c>
      <c r="C7" s="11">
        <v>30</v>
      </c>
      <c r="E7" s="10" t="s">
        <v>104</v>
      </c>
      <c r="G7" s="6">
        <v>1.333</v>
      </c>
      <c r="H7" t="s">
        <v>106</v>
      </c>
    </row>
    <row r="8" spans="1:3" ht="14.25">
      <c r="A8">
        <v>8</v>
      </c>
      <c r="B8" t="s">
        <v>4</v>
      </c>
      <c r="C8" s="9">
        <f>I12</f>
        <v>41.84379428190381</v>
      </c>
    </row>
    <row r="9" spans="1:9" ht="14.25">
      <c r="A9">
        <v>9</v>
      </c>
      <c r="B9" t="s">
        <v>8</v>
      </c>
      <c r="C9" s="9">
        <f>I14</f>
        <v>62.515628907226805</v>
      </c>
      <c r="F9" s="20" t="s">
        <v>90</v>
      </c>
      <c r="G9" s="5" t="s">
        <v>91</v>
      </c>
      <c r="H9" s="5" t="s">
        <v>1</v>
      </c>
      <c r="I9" s="5" t="s">
        <v>92</v>
      </c>
    </row>
    <row r="10" spans="1:9" ht="14.25">
      <c r="A10">
        <v>10</v>
      </c>
      <c r="B10" t="s">
        <v>11</v>
      </c>
      <c r="C10" s="9">
        <f>H15</f>
        <v>55.55555555555555</v>
      </c>
      <c r="E10" s="1" t="s">
        <v>84</v>
      </c>
      <c r="F10" s="21">
        <v>5504</v>
      </c>
      <c r="G10" s="20">
        <f>F10/(2*$G$6)</f>
        <v>1834.6666666666667</v>
      </c>
      <c r="H10" s="22">
        <f>G10/24</f>
        <v>76.44444444444444</v>
      </c>
      <c r="I10" s="22">
        <f>H10/$G$7</f>
        <v>57.34767025089606</v>
      </c>
    </row>
    <row r="11" spans="1:9" ht="14.25">
      <c r="A11">
        <v>11</v>
      </c>
      <c r="B11" t="s">
        <v>50</v>
      </c>
      <c r="C11" s="9">
        <f>I11</f>
        <v>51.17946153204967</v>
      </c>
      <c r="E11" s="1" t="s">
        <v>85</v>
      </c>
      <c r="F11" s="21">
        <v>4912</v>
      </c>
      <c r="G11" s="20">
        <f aca="true" t="shared" si="0" ref="G11:G16">F11/(2*$G$6)</f>
        <v>1637.3333333333333</v>
      </c>
      <c r="H11" s="22">
        <f>G11/24</f>
        <v>68.22222222222221</v>
      </c>
      <c r="I11" s="22">
        <f>H11/$G$7</f>
        <v>51.17946153204967</v>
      </c>
    </row>
    <row r="12" spans="1:9" ht="14.25">
      <c r="A12">
        <v>12</v>
      </c>
      <c r="B12" t="s">
        <v>10</v>
      </c>
      <c r="C12" s="9">
        <f>I10</f>
        <v>57.34767025089606</v>
      </c>
      <c r="E12" s="1" t="s">
        <v>86</v>
      </c>
      <c r="F12" s="21">
        <v>4016</v>
      </c>
      <c r="G12" s="20">
        <f t="shared" si="0"/>
        <v>1338.6666666666667</v>
      </c>
      <c r="H12" s="22">
        <f>G12/24</f>
        <v>55.77777777777778</v>
      </c>
      <c r="I12" s="22">
        <f>H12/$G$7</f>
        <v>41.84379428190381</v>
      </c>
    </row>
    <row r="13" spans="1:9" ht="14.25">
      <c r="A13">
        <v>13</v>
      </c>
      <c r="B13" t="s">
        <v>55</v>
      </c>
      <c r="C13" s="9">
        <v>28.47</v>
      </c>
      <c r="E13" s="1" t="s">
        <v>87</v>
      </c>
      <c r="F13" s="21">
        <v>3280</v>
      </c>
      <c r="G13" s="20">
        <f t="shared" si="0"/>
        <v>1093.3333333333333</v>
      </c>
      <c r="H13" s="22">
        <f>G13/24</f>
        <v>45.55555555555555</v>
      </c>
      <c r="I13" s="22">
        <f>H13/$G$7</f>
        <v>34.17521046928398</v>
      </c>
    </row>
    <row r="14" spans="1:9" ht="14.25">
      <c r="A14">
        <v>14</v>
      </c>
      <c r="B14" t="s">
        <v>62</v>
      </c>
      <c r="C14" s="9">
        <f>I16</f>
        <v>46.981442330279535</v>
      </c>
      <c r="E14" s="1" t="s">
        <v>98</v>
      </c>
      <c r="F14" s="21">
        <v>4000</v>
      </c>
      <c r="G14" s="20">
        <f t="shared" si="0"/>
        <v>1333.3333333333333</v>
      </c>
      <c r="H14" s="22">
        <f>G14/16</f>
        <v>83.33333333333333</v>
      </c>
      <c r="I14" s="22">
        <f>H14/$G$7</f>
        <v>62.515628907226805</v>
      </c>
    </row>
    <row r="15" spans="1:9" ht="14.25">
      <c r="A15">
        <v>15</v>
      </c>
      <c r="B15" t="s">
        <v>3</v>
      </c>
      <c r="C15" s="11">
        <v>100</v>
      </c>
      <c r="E15" s="1" t="s">
        <v>88</v>
      </c>
      <c r="F15" s="21">
        <v>4000</v>
      </c>
      <c r="G15" s="20">
        <f t="shared" si="0"/>
        <v>1333.3333333333333</v>
      </c>
      <c r="H15" s="22">
        <f>G15/24</f>
        <v>55.55555555555555</v>
      </c>
      <c r="I15" s="22"/>
    </row>
    <row r="16" spans="1:9" ht="14.25">
      <c r="A16">
        <v>16</v>
      </c>
      <c r="B16" t="s">
        <v>6</v>
      </c>
      <c r="C16" s="11">
        <f>4000/25.4/2</f>
        <v>78.74015748031496</v>
      </c>
      <c r="E16" s="19" t="s">
        <v>89</v>
      </c>
      <c r="F16" s="21">
        <v>6200</v>
      </c>
      <c r="G16" s="20">
        <f t="shared" si="0"/>
        <v>2066.6666666666665</v>
      </c>
      <c r="H16" s="22">
        <f>G16/33</f>
        <v>62.62626262626262</v>
      </c>
      <c r="I16" s="22">
        <f>H16/$G$7</f>
        <v>46.981442330279535</v>
      </c>
    </row>
    <row r="17" spans="1:3" ht="14.25">
      <c r="A17">
        <v>17</v>
      </c>
      <c r="B17" t="s">
        <v>9</v>
      </c>
      <c r="C17" s="11">
        <f>2300/25.4/2</f>
        <v>45.275590551181104</v>
      </c>
    </row>
    <row r="18" spans="1:8" ht="14.25">
      <c r="A18">
        <v>18</v>
      </c>
      <c r="B18" t="s">
        <v>96</v>
      </c>
      <c r="C18" s="11">
        <f>6300/25.4/2</f>
        <v>124.01574803149607</v>
      </c>
      <c r="F18" t="s">
        <v>28</v>
      </c>
      <c r="G18" s="7"/>
      <c r="H18" s="6" t="s">
        <v>24</v>
      </c>
    </row>
    <row r="19" spans="1:8" ht="14.25">
      <c r="A19">
        <v>19</v>
      </c>
      <c r="B19" t="s">
        <v>97</v>
      </c>
      <c r="C19" s="11">
        <f>3200/25.4/2</f>
        <v>62.99212598425197</v>
      </c>
      <c r="F19" t="s">
        <v>29</v>
      </c>
      <c r="H19" s="7" t="s">
        <v>25</v>
      </c>
    </row>
    <row r="20" spans="1:3" ht="14.25">
      <c r="A20">
        <v>20</v>
      </c>
      <c r="B20" t="s">
        <v>102</v>
      </c>
      <c r="C20" s="11">
        <f>2040/25.4/2</f>
        <v>40.15748031496063</v>
      </c>
    </row>
    <row r="22" spans="2:7" ht="14.25">
      <c r="B22" s="6" t="s">
        <v>12</v>
      </c>
      <c r="G22">
        <f>2^0.25</f>
        <v>1.189207115002721</v>
      </c>
    </row>
    <row r="23" spans="3:6" ht="14.25">
      <c r="C23" s="3" t="s">
        <v>1</v>
      </c>
      <c r="D23" s="5" t="s">
        <v>5</v>
      </c>
      <c r="E23" s="5" t="s">
        <v>93</v>
      </c>
      <c r="F23" s="5"/>
    </row>
    <row r="24" spans="2:6" ht="14.25">
      <c r="B24" t="s">
        <v>52</v>
      </c>
      <c r="C24" s="9">
        <f>1/SQRT(1/$C$2^2+1/$C$8^2)</f>
        <v>32.08931592527268</v>
      </c>
      <c r="D24" s="8">
        <f>2*24*C24</f>
        <v>1540.2871644130887</v>
      </c>
      <c r="E24" s="16">
        <f>D24/$D$57</f>
        <v>0.35627759479854704</v>
      </c>
      <c r="F24" s="16"/>
    </row>
    <row r="25" spans="2:6" ht="14.25">
      <c r="B25" t="s">
        <v>51</v>
      </c>
      <c r="C25" s="9">
        <f>1/SQRT(1/$C$2^2+1/$C$9^2)</f>
        <v>39.04724966953852</v>
      </c>
      <c r="D25" s="8">
        <f>2*16*C25</f>
        <v>1249.5119894252327</v>
      </c>
      <c r="E25" s="16">
        <f>D25/$D$57</f>
        <v>0.2890195650198762</v>
      </c>
      <c r="F25" s="16"/>
    </row>
    <row r="26" spans="2:6" ht="14.25">
      <c r="B26" t="s">
        <v>53</v>
      </c>
      <c r="C26" s="9">
        <f>1/SQRT(1/$C$2^2+1/$C$11^2)</f>
        <v>35.76505068403066</v>
      </c>
      <c r="D26" s="8">
        <f>2*24*C26</f>
        <v>1716.7224328334719</v>
      </c>
      <c r="E26" s="16">
        <f>D26/$D$57</f>
        <v>0.397088123200504</v>
      </c>
      <c r="F26" s="16"/>
    </row>
    <row r="27" spans="2:6" ht="14.25">
      <c r="B27" t="s">
        <v>54</v>
      </c>
      <c r="C27" s="9">
        <f>1/SQRT(1/$C$2^2+1/$C$12^2)</f>
        <v>37.68714065555159</v>
      </c>
      <c r="D27" s="8">
        <f>2*24*C27</f>
        <v>1808.9827514664762</v>
      </c>
      <c r="E27" s="16">
        <f>D27/$D$57</f>
        <v>0.4184284843859712</v>
      </c>
      <c r="F27" s="17"/>
    </row>
    <row r="28" spans="2:6" ht="14.25">
      <c r="B28" t="s">
        <v>56</v>
      </c>
      <c r="C28" s="9">
        <f>1/SQRT(1/$C$2^2+1/$C$13^2)</f>
        <v>24.740472669509916</v>
      </c>
      <c r="D28" s="8">
        <f>2*24*C28</f>
        <v>1187.542688136476</v>
      </c>
      <c r="E28" s="16">
        <f>D28/$D$57</f>
        <v>0.27468569655391556</v>
      </c>
      <c r="F28" s="16"/>
    </row>
    <row r="29" spans="3:6" ht="14.25">
      <c r="C29" s="9"/>
      <c r="D29" s="8"/>
      <c r="E29" s="12"/>
      <c r="F29" s="7"/>
    </row>
    <row r="30" spans="2:6" ht="14.25">
      <c r="B30" s="4" t="s">
        <v>57</v>
      </c>
      <c r="C30" s="9">
        <f>1/SQRT(1/$C$1^2+1/$C$8^2)</f>
        <v>35.44158189904987</v>
      </c>
      <c r="D30" s="8">
        <f>2*24*C30</f>
        <v>1701.1959311543937</v>
      </c>
      <c r="E30" s="16">
        <f>D30/$D$57</f>
        <v>0.3934967508891173</v>
      </c>
      <c r="F30" s="16"/>
    </row>
    <row r="31" spans="2:6" ht="14.25">
      <c r="B31" s="4" t="s">
        <v>58</v>
      </c>
      <c r="C31" s="9">
        <f>1/SQRT(1/$C$1^2+1/$C$9^2)</f>
        <v>45.603209368140874</v>
      </c>
      <c r="D31" s="8">
        <f>2*16*C31</f>
        <v>1459.302699780508</v>
      </c>
      <c r="E31" s="16">
        <f>D31/$D$57</f>
        <v>0.33754540580031045</v>
      </c>
      <c r="F31" s="16"/>
    </row>
    <row r="32" spans="2:6" ht="14.25">
      <c r="B32" s="4" t="s">
        <v>59</v>
      </c>
      <c r="C32" s="9">
        <f>1/SQRT(1/$C$1^2+1/$C$11^2)</f>
        <v>40.59699324351355</v>
      </c>
      <c r="D32" s="8">
        <f>2*24*C32</f>
        <v>1948.6556756886505</v>
      </c>
      <c r="E32" s="16">
        <f>D32/$D$57</f>
        <v>0.4507356636250564</v>
      </c>
      <c r="F32" s="16"/>
    </row>
    <row r="33" spans="2:6" s="10" customFormat="1" ht="14.25">
      <c r="B33" s="15" t="s">
        <v>60</v>
      </c>
      <c r="C33" s="9">
        <f>1/SQRT(1/$C$1^2+1/$C$12^2)</f>
        <v>43.47645659553509</v>
      </c>
      <c r="D33" s="8">
        <f>2*24*C33</f>
        <v>2086.869916585684</v>
      </c>
      <c r="E33" s="16">
        <f>D33/$D$57</f>
        <v>0.4827054407233844</v>
      </c>
      <c r="F33" s="17"/>
    </row>
    <row r="34" spans="2:6" ht="14.25">
      <c r="B34" t="s">
        <v>61</v>
      </c>
      <c r="C34" s="9">
        <f>1/SQRT(1/$C$1^2+1/$C$13^2)</f>
        <v>26.182662198083786</v>
      </c>
      <c r="D34" s="8">
        <f>2*24*C34</f>
        <v>1256.7677855080217</v>
      </c>
      <c r="E34" s="16">
        <f>D34/$D$57</f>
        <v>0.29069787386802515</v>
      </c>
      <c r="F34" s="16"/>
    </row>
    <row r="35" spans="3:6" ht="14.25">
      <c r="C35" s="9"/>
      <c r="D35" s="7"/>
      <c r="E35" s="7"/>
      <c r="F35" s="7"/>
    </row>
    <row r="36" spans="2:6" ht="14.25">
      <c r="B36" t="s">
        <v>63</v>
      </c>
      <c r="C36" s="9">
        <f>1/SQRT(1/$C$2^2+1/$C$10^2)</f>
        <v>37.16470731235832</v>
      </c>
      <c r="D36" s="8">
        <f>2*24*C36</f>
        <v>1783.9059509931992</v>
      </c>
      <c r="E36" s="16">
        <f>D36/$D$57</f>
        <v>0.41262807108364613</v>
      </c>
      <c r="F36" s="16"/>
    </row>
    <row r="37" spans="4:6" ht="14.25">
      <c r="D37" s="2"/>
      <c r="E37" s="7"/>
      <c r="F37" s="7"/>
    </row>
    <row r="38" spans="2:6" ht="14.25">
      <c r="B38" t="s">
        <v>64</v>
      </c>
      <c r="C38" s="9">
        <f>1/SQRT(1/$C$3^2+1/$C$14^2)</f>
        <v>33.575218698343306</v>
      </c>
      <c r="D38" s="8">
        <f>2*33*C38</f>
        <v>2215.9644340906584</v>
      </c>
      <c r="E38" s="16">
        <f>D38/$D$57</f>
        <v>0.5125657714857176</v>
      </c>
      <c r="F38" s="16"/>
    </row>
    <row r="45" spans="2:4" ht="14.25">
      <c r="B45" s="6" t="s">
        <v>13</v>
      </c>
      <c r="D45" s="2"/>
    </row>
    <row r="46" spans="3:5" ht="14.25">
      <c r="C46" s="3" t="s">
        <v>1</v>
      </c>
      <c r="D46" s="5" t="s">
        <v>5</v>
      </c>
      <c r="E46" s="5" t="s">
        <v>93</v>
      </c>
    </row>
    <row r="47" spans="2:6" ht="14.25">
      <c r="B47" t="s">
        <v>65</v>
      </c>
      <c r="C47" s="9">
        <f>1/SQRT(1/$C$2^2+1/$C$15^2+1/$C$16^2)</f>
        <v>38.88696259169307</v>
      </c>
      <c r="D47" s="8">
        <f>2*24*C47</f>
        <v>1866.5742044012673</v>
      </c>
      <c r="E47" s="16">
        <f>D47/$D$57</f>
        <v>0.4317497304539922</v>
      </c>
      <c r="F47" s="16"/>
    </row>
    <row r="48" spans="2:6" ht="14.25">
      <c r="B48" t="s">
        <v>66</v>
      </c>
      <c r="C48" s="9">
        <f>1/SQRT(1/$C$2^2+1/$C$15^2+1/$C$17^2)</f>
        <v>31.81691680164417</v>
      </c>
      <c r="D48" s="8">
        <f>2*24*C48</f>
        <v>1527.21200647892</v>
      </c>
      <c r="E48" s="16">
        <f>D48/$D$57</f>
        <v>0.35325323289511473</v>
      </c>
      <c r="F48" s="16"/>
    </row>
    <row r="49" spans="2:6" ht="14.25">
      <c r="B49" t="s">
        <v>74</v>
      </c>
      <c r="C49" s="9">
        <f>1/SQRT(1/$C$2^2+1/$C$15^2+1/$C$18^2)</f>
        <v>42.0695751678898</v>
      </c>
      <c r="D49" s="8">
        <f>2*24*C49</f>
        <v>2019.3396080587104</v>
      </c>
      <c r="E49" s="16">
        <f>D49/$D$57</f>
        <v>0.46708527816287787</v>
      </c>
      <c r="F49" s="17"/>
    </row>
    <row r="50" spans="2:6" ht="14.25">
      <c r="B50" t="s">
        <v>67</v>
      </c>
      <c r="C50" s="9">
        <f>1/SQRT(1/$C$2^2+1/$C$15^2+1/$C$5^2)</f>
        <v>35.85685828003181</v>
      </c>
      <c r="D50" s="8">
        <f>2*24*C50</f>
        <v>1721.1291974415267</v>
      </c>
      <c r="E50" s="16">
        <f>D50/$D$57</f>
        <v>0.3981074341002344</v>
      </c>
      <c r="F50" s="16"/>
    </row>
    <row r="51" spans="3:6" ht="14.25">
      <c r="C51" s="9"/>
      <c r="D51" s="7"/>
      <c r="E51" s="7"/>
      <c r="F51" s="7"/>
    </row>
    <row r="52" spans="2:6" ht="14.25">
      <c r="B52" t="s">
        <v>68</v>
      </c>
      <c r="C52" s="9">
        <f>1/SQRT(1/$C$1^2+1/$C$15^2+1/$C$16^2)</f>
        <v>45.348442648097425</v>
      </c>
      <c r="D52" s="8">
        <f>2*24*C52</f>
        <v>2176.7252471086763</v>
      </c>
      <c r="E52" s="16">
        <f>D52/$D$57</f>
        <v>0.5034895138353346</v>
      </c>
      <c r="F52" s="16"/>
    </row>
    <row r="53" spans="2:6" ht="14.25">
      <c r="B53" t="s">
        <v>69</v>
      </c>
      <c r="C53" s="9">
        <f>1/SQRT(1/$C$1^2+1/$C$15^2+1/$C$17^2)</f>
        <v>35.075605244447466</v>
      </c>
      <c r="D53" s="8">
        <f>2*24*C53</f>
        <v>1683.6290517334783</v>
      </c>
      <c r="E53" s="16">
        <f>D53/$D$57</f>
        <v>0.38943342705392536</v>
      </c>
      <c r="F53" s="16"/>
    </row>
    <row r="54" spans="2:6" ht="14.25">
      <c r="B54" s="10" t="s">
        <v>75</v>
      </c>
      <c r="C54" s="9">
        <f>1/SQRT(1/$C$1^2+1/$C$15^2+1/$C$18^2)</f>
        <v>50.63713675894824</v>
      </c>
      <c r="D54" s="8">
        <f>2*24*C54</f>
        <v>2430.5825644295155</v>
      </c>
      <c r="E54" s="16">
        <f>D54/$D$57</f>
        <v>0.5622082232595885</v>
      </c>
      <c r="F54" s="17"/>
    </row>
    <row r="55" spans="2:6" ht="14.25">
      <c r="B55" t="s">
        <v>70</v>
      </c>
      <c r="C55" s="9">
        <f>1/SQRT(1/$C$1^2+1/$C$15^2+1/$C$5^2)</f>
        <v>40.73141414280585</v>
      </c>
      <c r="D55" s="8">
        <f>2*24*C55</f>
        <v>1955.107878854681</v>
      </c>
      <c r="E55" s="16">
        <f>D55/$D$57</f>
        <v>0.4522280966455061</v>
      </c>
      <c r="F55" s="16"/>
    </row>
    <row r="56" spans="3:6" ht="14.25">
      <c r="C56" s="9"/>
      <c r="D56" s="7"/>
      <c r="E56" s="7"/>
      <c r="F56" s="7"/>
    </row>
    <row r="57" spans="2:6" ht="14.25">
      <c r="B57" s="6" t="s">
        <v>77</v>
      </c>
      <c r="C57" s="13">
        <f>1/SQRT(1/$C$3^2+1/$C$15^2+1/$C$16^2)</f>
        <v>37.92349312210914</v>
      </c>
      <c r="D57" s="14">
        <f>2*57*C57</f>
        <v>4323.278215920443</v>
      </c>
      <c r="E57" s="17">
        <f>D57/$D$57</f>
        <v>1</v>
      </c>
      <c r="F57" s="17"/>
    </row>
    <row r="58" spans="2:6" ht="14.25">
      <c r="B58" t="s">
        <v>79</v>
      </c>
      <c r="C58" s="9">
        <f>1/SQRT(1/$C$3^2+1/$C$15^2+1/$C$17^2)</f>
        <v>31.282683248893537</v>
      </c>
      <c r="D58" s="8">
        <f>2*57*C58</f>
        <v>3566.2258903738634</v>
      </c>
      <c r="E58" s="16">
        <f>D58/$D$57</f>
        <v>0.8248892882353166</v>
      </c>
      <c r="F58" s="16"/>
    </row>
    <row r="59" spans="2:6" ht="14.25">
      <c r="B59" t="s">
        <v>81</v>
      </c>
      <c r="C59" s="9">
        <f>1/SQRT(1/$C$3^2+1/$C$15^2+1/$C$19^2)</f>
        <v>35.66783397824644</v>
      </c>
      <c r="D59" s="8">
        <f>2*57*C59</f>
        <v>4066.1330735200945</v>
      </c>
      <c r="E59" s="16">
        <f>D59/$D$57</f>
        <v>0.9405207970531684</v>
      </c>
      <c r="F59" s="16"/>
    </row>
    <row r="60" spans="2:6" ht="14.25">
      <c r="B60" t="s">
        <v>80</v>
      </c>
      <c r="C60" s="9">
        <f>1/SQRT(1/$C$3^2+1/$C$15^2+1/$C$6^2)</f>
        <v>31.191343870335317</v>
      </c>
      <c r="D60" s="8">
        <f>2*57*C60</f>
        <v>3555.813201218226</v>
      </c>
      <c r="E60" s="16">
        <f>D60/$D$57</f>
        <v>0.8224807712175377</v>
      </c>
      <c r="F60" s="16"/>
    </row>
    <row r="61" spans="2:6" ht="14.25">
      <c r="B61" t="s">
        <v>78</v>
      </c>
      <c r="C61" s="9"/>
      <c r="D61" s="7"/>
      <c r="E61" s="7"/>
      <c r="F61" s="7"/>
    </row>
    <row r="62" spans="3:6" ht="14.25">
      <c r="C62" s="9"/>
      <c r="D62" s="7"/>
      <c r="E62" s="7"/>
      <c r="F62" s="7"/>
    </row>
    <row r="63" spans="2:6" ht="14.25">
      <c r="B63" s="10" t="s">
        <v>71</v>
      </c>
      <c r="C63" s="9">
        <f>1/SQRT(1/$C$4^2+1/$C$15^2+1/$C$17^2)</f>
        <v>24.26109346316144</v>
      </c>
      <c r="D63" s="8">
        <f>2*96*C63</f>
        <v>4658.129944926996</v>
      </c>
      <c r="E63" s="16">
        <f>D63/$D$57</f>
        <v>1.077453199235123</v>
      </c>
      <c r="F63" s="17"/>
    </row>
    <row r="64" spans="2:6" ht="14.25">
      <c r="B64" t="s">
        <v>76</v>
      </c>
      <c r="C64" s="9">
        <f>1/SQRT(1/$C$4^2+1/$C$15^2+1/$C$20^2)</f>
        <v>23.36844882716576</v>
      </c>
      <c r="D64" s="8">
        <f>2*96*C64</f>
        <v>4486.742174815826</v>
      </c>
      <c r="E64" s="16">
        <f>D64/$D$57</f>
        <v>1.0378101872540677</v>
      </c>
      <c r="F64" s="16"/>
    </row>
    <row r="65" spans="2:6" ht="14.25">
      <c r="B65" t="s">
        <v>72</v>
      </c>
      <c r="C65" s="9">
        <f>1/SQRT(1/$C$4^2+1/$C$15^2+1/$C$7^2)</f>
        <v>20.75143391598224</v>
      </c>
      <c r="D65" s="8">
        <f>2*96*C65</f>
        <v>3984.27531186859</v>
      </c>
      <c r="E65" s="16">
        <f>D65/$D$57</f>
        <v>0.9215866092532567</v>
      </c>
      <c r="F65" s="16"/>
    </row>
    <row r="66" spans="3:6" ht="14.25">
      <c r="C66" s="9"/>
      <c r="D66" s="8"/>
      <c r="E66" s="12"/>
      <c r="F66" s="7"/>
    </row>
    <row r="67" spans="2:6" ht="14.25">
      <c r="B67" t="s">
        <v>73</v>
      </c>
      <c r="C67" s="9">
        <f>1/SQRT(1/$C$4^2+1/$C$15^2+1/$C$17^2)</f>
        <v>24.26109346316144</v>
      </c>
      <c r="D67" s="8">
        <f>2*192*C67</f>
        <v>9316.259889853993</v>
      </c>
      <c r="E67" s="16">
        <f>D67/$D$57</f>
        <v>2.154906398470246</v>
      </c>
      <c r="F67" s="17"/>
    </row>
    <row r="69" spans="2:3" ht="14.25">
      <c r="B69" s="18" t="s">
        <v>83</v>
      </c>
      <c r="C69"/>
    </row>
    <row r="70" ht="14.25">
      <c r="B70" s="10" t="s">
        <v>14</v>
      </c>
    </row>
    <row r="71" ht="14.25">
      <c r="B71" s="10" t="s">
        <v>15</v>
      </c>
    </row>
    <row r="72" ht="14.25">
      <c r="B72" s="10" t="s">
        <v>16</v>
      </c>
    </row>
    <row r="73" ht="14.25">
      <c r="B73" s="10" t="s">
        <v>17</v>
      </c>
    </row>
    <row r="74" ht="14.25">
      <c r="B74" s="10" t="s">
        <v>18</v>
      </c>
    </row>
    <row r="75" ht="14.25">
      <c r="B75" s="10" t="s">
        <v>19</v>
      </c>
    </row>
    <row r="76" ht="14.25">
      <c r="B76" s="10" t="s">
        <v>20</v>
      </c>
    </row>
    <row r="77" ht="14.25">
      <c r="B77" s="10" t="s">
        <v>21</v>
      </c>
    </row>
    <row r="79" ht="14.25">
      <c r="B79" t="s">
        <v>27</v>
      </c>
    </row>
    <row r="80" ht="14.25">
      <c r="B80" t="s">
        <v>82</v>
      </c>
    </row>
  </sheetData>
  <sheetProtection/>
  <hyperlinks>
    <hyperlink ref="B69" r:id="rId1" display="www.photo.net/discuss/threads/highest-resolution-b-w-film-dev-other-than-tech-pan.19844/"/>
  </hyperlinks>
  <printOptions/>
  <pageMargins left="0.25" right="0.25" top="0.75" bottom="0.75" header="0.3" footer="0.3"/>
  <pageSetup horizontalDpi="600" verticalDpi="600" orientation="portrait" r:id="rId2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30.28125" style="0" customWidth="1"/>
    <col min="2" max="2" width="9.57421875" style="0" customWidth="1"/>
    <col min="3" max="3" width="7.28125" style="0" bestFit="1" customWidth="1"/>
    <col min="4" max="4" width="8.28125" style="0" customWidth="1"/>
    <col min="5" max="5" width="8.421875" style="0" customWidth="1"/>
    <col min="6" max="6" width="9.8515625" style="0" bestFit="1" customWidth="1"/>
  </cols>
  <sheetData>
    <row r="1" spans="1:2" ht="14.25">
      <c r="A1" t="s">
        <v>13</v>
      </c>
      <c r="B1" s="5" t="s">
        <v>1</v>
      </c>
    </row>
    <row r="2" spans="1:6" ht="14.25">
      <c r="A2" t="s">
        <v>30</v>
      </c>
      <c r="B2" s="6">
        <v>125</v>
      </c>
      <c r="D2" t="s">
        <v>28</v>
      </c>
      <c r="E2" s="7"/>
      <c r="F2" s="6" t="s">
        <v>24</v>
      </c>
    </row>
    <row r="3" spans="1:6" ht="14.25">
      <c r="A3" t="s">
        <v>31</v>
      </c>
      <c r="B3" s="6">
        <v>100</v>
      </c>
      <c r="D3" t="s">
        <v>29</v>
      </c>
      <c r="F3" s="7" t="s">
        <v>25</v>
      </c>
    </row>
    <row r="4" spans="1:2" ht="14.25">
      <c r="A4" t="s">
        <v>33</v>
      </c>
      <c r="B4" s="6">
        <v>100</v>
      </c>
    </row>
    <row r="5" spans="1:2" ht="14.25">
      <c r="A5" t="s">
        <v>32</v>
      </c>
      <c r="B5" s="6">
        <v>80</v>
      </c>
    </row>
    <row r="6" ht="14.25">
      <c r="B6" s="6"/>
    </row>
    <row r="7" spans="1:2" ht="14.25">
      <c r="A7" t="s">
        <v>2</v>
      </c>
      <c r="B7" s="6">
        <v>60</v>
      </c>
    </row>
    <row r="9" spans="1:3" ht="14.25">
      <c r="A9" t="s">
        <v>34</v>
      </c>
      <c r="B9" s="5" t="s">
        <v>1</v>
      </c>
      <c r="C9" s="5" t="s">
        <v>38</v>
      </c>
    </row>
    <row r="10" spans="1:3" ht="14.25">
      <c r="A10" t="s">
        <v>35</v>
      </c>
      <c r="B10" s="9">
        <f>C10/25.4/2</f>
        <v>45.275590551181104</v>
      </c>
      <c r="C10" s="6">
        <v>2300</v>
      </c>
    </row>
    <row r="11" spans="1:3" ht="14.25">
      <c r="A11" t="s">
        <v>36</v>
      </c>
      <c r="B11" s="9">
        <f>C11/25.4/2</f>
        <v>78.74015748031496</v>
      </c>
      <c r="C11" s="6">
        <v>4000</v>
      </c>
    </row>
    <row r="12" spans="1:3" ht="14.25">
      <c r="A12" t="s">
        <v>37</v>
      </c>
      <c r="B12" s="9">
        <f>C12/25.4/2</f>
        <v>124.01574803149607</v>
      </c>
      <c r="C12" s="6">
        <v>6300</v>
      </c>
    </row>
    <row r="14" spans="1:3" ht="14.25">
      <c r="A14" t="s">
        <v>101</v>
      </c>
      <c r="B14" s="6">
        <v>1.5</v>
      </c>
      <c r="C14" t="s">
        <v>107</v>
      </c>
    </row>
    <row r="15" spans="1:3" ht="14.25">
      <c r="A15" s="10" t="s">
        <v>103</v>
      </c>
      <c r="B15" s="23">
        <v>1.333</v>
      </c>
      <c r="C15" t="s">
        <v>108</v>
      </c>
    </row>
    <row r="17" spans="2:5" ht="14.25">
      <c r="B17" s="5" t="s">
        <v>46</v>
      </c>
      <c r="C17" s="5" t="s">
        <v>47</v>
      </c>
      <c r="D17" s="5" t="s">
        <v>48</v>
      </c>
      <c r="E17" s="5" t="s">
        <v>49</v>
      </c>
    </row>
    <row r="18" spans="1:5" ht="14.25">
      <c r="A18" t="s">
        <v>40</v>
      </c>
      <c r="B18" s="9">
        <f>1/SQRT(1/($B$2^2)+1/($B$7^2))</f>
        <v>54.091383448096416</v>
      </c>
      <c r="C18" s="9">
        <f>1/SQRT(1/($B$2^2)+1/($B$10^2))</f>
        <v>42.56924138875816</v>
      </c>
      <c r="D18" s="9">
        <f>1/SQRT(1/($B$2^2)+1/($B$11^2))</f>
        <v>66.62374519001092</v>
      </c>
      <c r="E18" s="9">
        <f>1/SQRT(1/($B$2^2)+1/($B$12^2))</f>
        <v>88.03829889060397</v>
      </c>
    </row>
    <row r="19" spans="1:5" ht="14.25">
      <c r="A19" t="s">
        <v>5</v>
      </c>
      <c r="B19" s="8">
        <f>2*24*B18</f>
        <v>2596.386405508628</v>
      </c>
      <c r="C19" s="8">
        <f>2*24*C18</f>
        <v>2043.3235866603916</v>
      </c>
      <c r="D19" s="8">
        <f>2*24*D18</f>
        <v>3197.939769120524</v>
      </c>
      <c r="E19" s="8">
        <f>2*24*E18</f>
        <v>4225.83834674899</v>
      </c>
    </row>
    <row r="20" spans="1:5" ht="14.25">
      <c r="A20" t="s">
        <v>100</v>
      </c>
      <c r="B20" s="8">
        <f>$B$14*$B$15*B19</f>
        <v>5191.474617814501</v>
      </c>
      <c r="C20" s="8">
        <f>$B$14*$B$15*C19</f>
        <v>4085.6255115274525</v>
      </c>
      <c r="D20" s="8">
        <f>$B$14*$B$15*D19</f>
        <v>6394.2805683564875</v>
      </c>
      <c r="E20" s="8">
        <f>$B$14*$B$15*E19</f>
        <v>8449.563774324606</v>
      </c>
    </row>
    <row r="21" spans="1:5" ht="14.25">
      <c r="A21" t="s">
        <v>99</v>
      </c>
      <c r="B21" s="12">
        <f>1.5*B20^2/1000000</f>
        <v>40.42711306111832</v>
      </c>
      <c r="C21" s="12">
        <f>1.5*C20^2/1000000</f>
        <v>25.038503730665937</v>
      </c>
      <c r="D21" s="12">
        <f>1.5*D20^2/1000000</f>
        <v>61.330235980292045</v>
      </c>
      <c r="E21" s="12">
        <f>1.5*E20^2/1000000</f>
        <v>107.09269196456802</v>
      </c>
    </row>
    <row r="22" spans="2:5" ht="14.25">
      <c r="B22" s="7"/>
      <c r="C22" s="7"/>
      <c r="D22" s="7"/>
      <c r="E22" s="7"/>
    </row>
    <row r="23" spans="1:5" ht="14.25">
      <c r="A23" t="s">
        <v>41</v>
      </c>
      <c r="B23" s="9">
        <f>1/SQRT(1/($B$3^2)+1/($B$7^2))</f>
        <v>51.449575542752655</v>
      </c>
      <c r="C23" s="9">
        <f>1/SQRT(1/($B$3^2)+1/($B$10^2))</f>
        <v>41.24513970453802</v>
      </c>
      <c r="D23" s="9">
        <f>1/SQRT(1/($B$3^2)+1/($B$11^2))</f>
        <v>61.86408666360874</v>
      </c>
      <c r="E23" s="9">
        <f>1/SQRT(1/($B$3^2)+1/($B$12^2))</f>
        <v>77.84519925189635</v>
      </c>
    </row>
    <row r="24" spans="1:5" ht="14.25">
      <c r="A24" t="s">
        <v>5</v>
      </c>
      <c r="B24" s="8">
        <f>2*24*B23</f>
        <v>2469.5796260521274</v>
      </c>
      <c r="C24" s="8">
        <f>2*24*C23</f>
        <v>1979.766705817825</v>
      </c>
      <c r="D24" s="8">
        <f>2*24*D23</f>
        <v>2969.4761598532195</v>
      </c>
      <c r="E24" s="8">
        <f>2*24*E23</f>
        <v>3736.5695640910244</v>
      </c>
    </row>
    <row r="25" spans="1:5" ht="14.25">
      <c r="A25" t="s">
        <v>100</v>
      </c>
      <c r="B25" s="8">
        <f>$B$14*$B$15*B24</f>
        <v>4937.924462291228</v>
      </c>
      <c r="C25" s="8">
        <f>$B$14*$B$15*C24</f>
        <v>3958.5435282827407</v>
      </c>
      <c r="D25" s="8">
        <f>$B$14*$B$15*D24</f>
        <v>5937.467581626512</v>
      </c>
      <c r="E25" s="8">
        <f>$B$14*$B$15*E24</f>
        <v>7471.270843400002</v>
      </c>
    </row>
    <row r="26" spans="1:5" ht="14.25">
      <c r="A26" t="s">
        <v>39</v>
      </c>
      <c r="B26" s="12">
        <f>1.5*B25^2/1000000</f>
        <v>36.57464699294117</v>
      </c>
      <c r="C26" s="12">
        <f>1.5*C25^2/1000000</f>
        <v>23.505100297963754</v>
      </c>
      <c r="D26" s="12">
        <f>1.5*D25^2/1000000</f>
        <v>52.880281924298664</v>
      </c>
      <c r="E26" s="12">
        <f>1.5*E25^2/1000000</f>
        <v>83.72983202315848</v>
      </c>
    </row>
    <row r="27" spans="2:5" ht="14.25">
      <c r="B27" s="7"/>
      <c r="C27" s="7"/>
      <c r="D27" s="7"/>
      <c r="E27" s="7"/>
    </row>
    <row r="28" spans="1:5" ht="14.25">
      <c r="A28" t="s">
        <v>42</v>
      </c>
      <c r="B28" s="9">
        <f>1/SQRT(1/($B$5^2)+1/($B$7^2))</f>
        <v>48</v>
      </c>
      <c r="C28" s="9">
        <f>1/SQRT(1/($B$5^2)+1/($B$10^2))</f>
        <v>39.40296139317677</v>
      </c>
      <c r="D28" s="9">
        <f>1/SQRT(1/($B$5^2)+1/($B$11^2))</f>
        <v>56.117818457272115</v>
      </c>
      <c r="E28" s="9">
        <f>1/SQRT(1/($B$5^2)+1/($B$12^2))</f>
        <v>67.22624068461307</v>
      </c>
    </row>
    <row r="29" spans="1:5" ht="14.25">
      <c r="A29" t="s">
        <v>5</v>
      </c>
      <c r="B29" s="8">
        <f>2*24*B28</f>
        <v>2304</v>
      </c>
      <c r="C29" s="8">
        <f>2*24*C28</f>
        <v>1891.3421468724848</v>
      </c>
      <c r="D29" s="8">
        <f>2*24*D28</f>
        <v>2693.6552859490616</v>
      </c>
      <c r="E29" s="8">
        <f>2*24*E28</f>
        <v>3226.859552861428</v>
      </c>
    </row>
    <row r="30" spans="1:5" ht="14.25">
      <c r="A30" t="s">
        <v>100</v>
      </c>
      <c r="B30" s="8">
        <f>$B$14*$B$15*B29</f>
        <v>4606.848</v>
      </c>
      <c r="C30" s="8">
        <f>$B$14*$B$15*C29</f>
        <v>3781.738622671533</v>
      </c>
      <c r="D30" s="8">
        <f>$B$14*$B$15*D29</f>
        <v>5385.963744255148</v>
      </c>
      <c r="E30" s="8">
        <f>$B$14*$B$15*E29</f>
        <v>6452.1056759464245</v>
      </c>
    </row>
    <row r="31" spans="1:5" ht="14.25">
      <c r="A31" t="s">
        <v>39</v>
      </c>
      <c r="B31" s="12">
        <f>1.5*B30^2/1000000</f>
        <v>31.834572742656</v>
      </c>
      <c r="C31" s="12">
        <f>1.5*C30^2/1000000</f>
        <v>21.452320515308376</v>
      </c>
      <c r="D31" s="12">
        <f>1.5*D30^2/1000000</f>
        <v>43.51290818164641</v>
      </c>
      <c r="E31" s="12">
        <f>1.5*E30^2/1000000</f>
        <v>62.44450148037011</v>
      </c>
    </row>
    <row r="33" ht="14.25">
      <c r="A33" t="s">
        <v>109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Scotty</dc:creator>
  <cp:keywords/>
  <dc:description/>
  <cp:lastModifiedBy>Scotty</cp:lastModifiedBy>
  <cp:lastPrinted>2018-07-30T13:34:38Z</cp:lastPrinted>
  <dcterms:created xsi:type="dcterms:W3CDTF">2018-07-14T22:03:00Z</dcterms:created>
  <dcterms:modified xsi:type="dcterms:W3CDTF">2018-07-30T14:07:16Z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